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2019-2022'!$B$4:$AS$90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44" i="8238" l="1"/>
  <c r="AR42" i="8238" l="1"/>
  <c r="AR31" i="8238"/>
  <c r="AR26" i="8238"/>
  <c r="AS25" i="8238"/>
  <c r="AS24" i="8238"/>
  <c r="AS23" i="8238"/>
  <c r="AS22" i="8238"/>
  <c r="AS21" i="8238"/>
  <c r="AS20" i="8238"/>
  <c r="AS19" i="8238"/>
  <c r="AS18" i="8238"/>
  <c r="AS17" i="8238"/>
  <c r="AS16" i="8238"/>
  <c r="AS15" i="8238"/>
  <c r="AS14" i="8238"/>
  <c r="AS13" i="8238"/>
  <c r="AS12" i="8238"/>
  <c r="AS11" i="8238"/>
  <c r="AQ42" i="8238"/>
  <c r="AQ31" i="8238"/>
  <c r="AQ26" i="8238"/>
  <c r="AS41" i="8238"/>
  <c r="AS38" i="8238"/>
  <c r="AS37" i="8238"/>
  <c r="AS34" i="8238"/>
  <c r="AS33" i="8238"/>
  <c r="AS30" i="8238"/>
  <c r="AS29" i="8238"/>
  <c r="AS27" i="8238"/>
  <c r="AP42" i="8238"/>
  <c r="AP31" i="8238"/>
  <c r="AP26" i="8238"/>
  <c r="AO42" i="8238"/>
  <c r="AO31" i="8238"/>
  <c r="AO26" i="8238"/>
  <c r="AO44" i="8238" s="1"/>
  <c r="AQ44" i="8238" l="1"/>
  <c r="AP44" i="8238"/>
  <c r="AN42" i="8238"/>
  <c r="AN31" i="8238"/>
  <c r="AN26" i="8238"/>
  <c r="AS35" i="8238"/>
  <c r="AS36" i="8238"/>
  <c r="AS39" i="8238"/>
  <c r="AS40" i="8238"/>
  <c r="AS28" i="8238"/>
  <c r="AN44" i="8238" l="1"/>
  <c r="AS26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S42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S31" i="8238"/>
  <c r="AS44" i="8238" s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S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E42" i="8237" s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44" i="8238" l="1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<sst xmlns="http://schemas.openxmlformats.org/spreadsheetml/2006/main" count="490" uniqueCount="91">
  <si>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</si>
  <si>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</si>
  <si>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</si>
  <si>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</si>
  <si>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</si>
  <si>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</si>
  <si>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</si>
  <si>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</si>
  <si>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</si>
  <si>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</si>
  <si>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</si>
  <si>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</si>
  <si>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</si>
  <si>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</si>
  <si>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</si>
  <si>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</si>
  <si>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</si>
  <si>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</si>
  <si>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</si>
  <si>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</si>
  <si>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</si>
  <si>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</si>
  <si>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</si>
  <si>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</si>
  <si>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</si>
  <si>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</si>
  <si>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</si>
  <si>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</si>
  <si>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</si>
  <si>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</si>
  <si>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</si>
  <si>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</si>
  <si>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</si>
  <si>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</si>
  <si>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</si>
  <si>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</si>
  <si>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</si>
  <si>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</si>
  <si>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</si>
  <si>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</si>
  <si>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</si>
  <si>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</si>
  <si>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</si>
  <si>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</si>
  <si>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</si>
  <si>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</si>
  <si>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</si>
  <si>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</si>
  <si>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</si>
  <si>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</si>
  <si>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</si>
  <si>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</si>
  <si>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</si>
  <si>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</si>
  <si>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</si>
  <si>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</si>
  <si>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</si>
  <si>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</si>
  <si>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</si>
  <si>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</si>
  <si>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</si>
  <si>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</si>
  <si>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</si>
  <si>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</si>
  <si>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</si>
  <si>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</si>
  <si>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</si>
  <si>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</si>
  <si>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</si>
  <si>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</si>
  <si>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</si>
  <si>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</si>
  <si>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</si>
  <si>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</si>
  <si>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</si>
  <si>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</si>
  <si>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</si>
  <si>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</si>
  <si>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</si>
  <si>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</si>
  <si>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</si>
  <si>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</si>
  <si>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</si>
  <si>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</si>
  <si>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</si>
  <si>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</si>
  <si>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IV/T)</t>
  </si>
  <si>
    <t>ABRIL 2022</t>
  </si>
  <si>
    <t>DIFERENCIA ABR22-MAR22</t>
  </si>
  <si>
    <t>UNNA ENERGIA</t>
  </si>
  <si>
    <t>III(T)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</si>
</sst>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97024"/>
        <c:axId val="13698560"/>
        <c:axId val="0"/>
      </c:bar3DChart>
      <c:dateAx>
        <c:axId val="1369702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98560"/>
        <c:crosses val="autoZero"/>
        <c:auto val="1"/>
        <c:lblOffset val="100"/>
        <c:baseTimeUnit val="months"/>
      </c:dateAx>
      <c:valAx>
        <c:axId val="136985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9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2019-2022'!$AG$1:$AR$1</c:f>
              <c:numCache>
                <c:formatCode>mmm\-yy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'PETRÓLEO 2019-2022'!$AG$44:$AR$44</c:f>
              <c:numCache>
                <c:formatCode>#,##0</c:formatCode>
                <c:ptCount val="12"/>
                <c:pt idx="0">
                  <c:v>41128.032258064515</c:v>
                </c:pt>
                <c:pt idx="1">
                  <c:v>38881.399999999994</c:v>
                </c:pt>
                <c:pt idx="2">
                  <c:v>38887.645161290318</c:v>
                </c:pt>
                <c:pt idx="3">
                  <c:v>37699.645161290318</c:v>
                </c:pt>
                <c:pt idx="4">
                  <c:v>41292</c:v>
                </c:pt>
                <c:pt idx="5">
                  <c:v>44285</c:v>
                </c:pt>
                <c:pt idx="6">
                  <c:v>37924</c:v>
                </c:pt>
                <c:pt idx="7">
                  <c:v>38603</c:v>
                </c:pt>
                <c:pt idx="8">
                  <c:v>42524.516129032258</c:v>
                </c:pt>
                <c:pt idx="9">
                  <c:v>49246</c:v>
                </c:pt>
                <c:pt idx="10">
                  <c:v>28976.419354838705</c:v>
                </c:pt>
                <c:pt idx="11">
                  <c:v>41900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981056"/>
        <c:axId val="39982592"/>
        <c:axId val="0"/>
      </c:bar3DChart>
      <c:dateAx>
        <c:axId val="39981056"/>
        <c:scaling>
          <c:orientation val="minMax"/>
          <c:max val="44652"/>
          <c:min val="44317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982592"/>
        <c:crosses val="autoZero"/>
        <c:auto val="1"/>
        <c:lblOffset val="100"/>
        <c:baseTimeUnit val="months"/>
      </c:dateAx>
      <c:valAx>
        <c:axId val="39982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9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xmlns="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xmlns="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32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xmlns="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941366</xdr:colOff>
      <xdr:row>49</xdr:row>
      <xdr:rowOff>100199</xdr:rowOff>
    </xdr:from>
    <xdr:to>
      <xdr:col>41</xdr:col>
      <xdr:colOff>1045276</xdr:colOff>
      <xdr:row>81</xdr:row>
      <xdr:rowOff>82880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xmlns="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22"/>
      <c r="HR4" s="22"/>
      <c r="HS4" s="22"/>
      <c r="HT4" s="22"/>
      <c r="HU4" s="22"/>
    </row>
    <row r="5" spans="1:256" ht="21" customHeight="1" x14ac:dyDescent="0.2">
      <c r="A5" s="116" t="s">
        <v>80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6" ht="18" customHeight="1" x14ac:dyDescent="0.2">
      <c r="A6" s="115" t="s">
        <v>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6" ht="21" x14ac:dyDescent="0.35">
      <c r="A7" s="114" t="s">
        <v>79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132"/>
      <c r="D9" s="133"/>
      <c r="E9" s="101">
        <v>1999</v>
      </c>
      <c r="F9" s="101"/>
      <c r="G9" s="101"/>
      <c r="H9" s="101"/>
      <c r="I9" s="101"/>
      <c r="J9" s="101"/>
      <c r="K9" s="101"/>
      <c r="L9" s="101"/>
      <c r="M9" s="59">
        <v>2000</v>
      </c>
      <c r="N9" s="102" t="s">
        <v>34</v>
      </c>
      <c r="O9" s="102"/>
      <c r="P9" s="102"/>
      <c r="Q9" s="102"/>
      <c r="R9" s="102"/>
      <c r="S9" s="102"/>
      <c r="T9" s="102"/>
      <c r="U9" s="60">
        <v>2001</v>
      </c>
      <c r="V9" s="61"/>
      <c r="W9" s="61"/>
      <c r="X9" s="61"/>
      <c r="Y9" s="61"/>
      <c r="Z9" s="61"/>
      <c r="AA9" s="61"/>
      <c r="AB9" s="112">
        <v>2001</v>
      </c>
      <c r="AC9" s="112"/>
      <c r="AD9" s="112"/>
      <c r="AE9" s="112"/>
      <c r="AF9" s="112"/>
      <c r="AG9" s="134">
        <v>2002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6"/>
      <c r="AS9" s="82">
        <v>2003</v>
      </c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99">
        <v>2004</v>
      </c>
      <c r="BF9" s="100"/>
      <c r="BG9" s="100"/>
      <c r="BH9" s="100"/>
      <c r="BI9" s="100"/>
      <c r="BJ9" s="100"/>
      <c r="BK9" s="100"/>
      <c r="BL9" s="100"/>
      <c r="BM9" s="100"/>
      <c r="BN9" s="100"/>
      <c r="BO9" s="106">
        <v>2005</v>
      </c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8"/>
      <c r="CA9" s="97">
        <v>2006</v>
      </c>
      <c r="CB9" s="98"/>
      <c r="CC9" s="98"/>
      <c r="CD9" s="98"/>
      <c r="CE9" s="98"/>
      <c r="CF9" s="98"/>
      <c r="CG9" s="98"/>
      <c r="CH9" s="98"/>
      <c r="CI9" s="98"/>
      <c r="CJ9" s="98"/>
      <c r="CK9" s="89">
        <v>2007</v>
      </c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87">
        <v>2008</v>
      </c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7">
        <v>2009</v>
      </c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1">
        <v>2010</v>
      </c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62">
        <v>2011</v>
      </c>
      <c r="EH9" s="62"/>
      <c r="EI9" s="62"/>
      <c r="EJ9" s="62"/>
      <c r="EK9" s="62"/>
      <c r="EL9" s="62"/>
      <c r="EM9" s="129">
        <v>2011</v>
      </c>
      <c r="EN9" s="130"/>
      <c r="EO9" s="131"/>
      <c r="EP9" s="109">
        <v>2012</v>
      </c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1"/>
      <c r="FB9" s="91">
        <v>2013</v>
      </c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3"/>
      <c r="FN9" s="94">
        <v>2014</v>
      </c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105">
        <v>2015</v>
      </c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3">
        <v>2016</v>
      </c>
      <c r="GW9" s="104"/>
      <c r="GX9" s="113">
        <v>2017</v>
      </c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84">
        <v>2018</v>
      </c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6"/>
      <c r="HV9" s="80">
        <v>2019</v>
      </c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>
        <v>2020</v>
      </c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118" t="s">
        <v>68</v>
      </c>
      <c r="B11" s="124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123"/>
      <c r="B12" s="125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123"/>
      <c r="B13" s="125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123"/>
      <c r="B14" s="125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123"/>
      <c r="B15" s="125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123"/>
      <c r="B16" s="125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21">
        <v>125069</v>
      </c>
      <c r="P16" s="121">
        <v>132837</v>
      </c>
      <c r="Q16" s="121">
        <v>127982</v>
      </c>
      <c r="R16" s="121">
        <v>134937</v>
      </c>
      <c r="S16" s="121">
        <v>128138</v>
      </c>
      <c r="T16" s="121">
        <v>132222</v>
      </c>
      <c r="U16" s="121">
        <v>127513</v>
      </c>
      <c r="V16" s="121">
        <v>113266</v>
      </c>
      <c r="W16" s="121">
        <v>121026</v>
      </c>
      <c r="X16" s="121">
        <v>130746</v>
      </c>
      <c r="Y16" s="121">
        <v>140659</v>
      </c>
      <c r="Z16" s="121">
        <v>133530</v>
      </c>
      <c r="AA16" s="121">
        <v>141390</v>
      </c>
      <c r="AB16" s="121">
        <v>135945</v>
      </c>
      <c r="AC16" s="121">
        <v>134600</v>
      </c>
      <c r="AD16" s="12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123"/>
      <c r="B17" s="125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122"/>
      <c r="AB17" s="122"/>
      <c r="AC17" s="122"/>
      <c r="AD17" s="122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123"/>
      <c r="B18" s="125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123"/>
      <c r="B19" s="125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123"/>
      <c r="B20" s="125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123"/>
      <c r="B21" s="125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123"/>
      <c r="B22" s="125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123"/>
      <c r="B23" s="125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120" t="s">
        <v>46</v>
      </c>
      <c r="D24" s="120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117" t="s">
        <v>41</v>
      </c>
      <c r="B25" s="11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117"/>
      <c r="B26" s="11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117"/>
      <c r="B27" s="11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118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26" t="s">
        <v>47</v>
      </c>
      <c r="D29" s="126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117" t="s">
        <v>69</v>
      </c>
      <c r="B30" s="11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117"/>
      <c r="B31" s="11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117"/>
      <c r="B32" s="11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11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118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128" t="s">
        <v>48</v>
      </c>
      <c r="D40" s="12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127" t="s">
        <v>78</v>
      </c>
      <c r="D42" s="12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93"/>
  <sheetViews>
    <sheetView tabSelected="1" view="pageBreakPreview" topLeftCell="C1" zoomScale="70" zoomScaleNormal="70" zoomScaleSheetLayoutView="70" workbookViewId="0">
      <pane xSplit="2" ySplit="10" topLeftCell="AG34" activePane="bottomRight" state="frozen"/>
      <selection activeCell="C1" sqref="C1"/>
      <selection pane="topRight" activeCell="HG1" sqref="HG1"/>
      <selection pane="bottomLeft" activeCell="C11" sqref="C11"/>
      <selection pane="bottomRight" activeCell="AR50" sqref="AR5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2" width="16.5703125" style="1" hidden="1" customWidth="1"/>
    <col min="33" max="44" width="16.5703125" style="1" customWidth="1"/>
    <col min="45" max="45" width="20.140625" style="1" customWidth="1"/>
    <col min="46" max="16384" width="11.42578125" style="1"/>
  </cols>
  <sheetData>
    <row r="1" spans="1:48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"/>
      <c r="AT1" s="1"/>
      <c r="AU1" s="1"/>
      <c r="AV1" s="1"/>
    </row>
    <row r="2" spans="1:48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75" x14ac:dyDescent="0.3">
      <c r="A4" s="96"/>
      <c r="B4" s="96"/>
      <c r="C4" s="96"/>
      <c r="D4" s="96"/>
    </row>
    <row r="5" spans="1:48" ht="21" customHeight="1" x14ac:dyDescent="0.2">
      <c r="A5" s="116" t="s">
        <v>80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</row>
    <row r="6" spans="1:48" ht="18" customHeight="1" x14ac:dyDescent="0.2">
      <c r="A6" s="115" t="s">
        <v>87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</row>
    <row r="7" spans="1:48" ht="21" x14ac:dyDescent="0.35">
      <c r="A7" s="114" t="s">
        <v>79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</row>
    <row r="8" spans="1:48" ht="15.75" x14ac:dyDescent="0.25">
      <c r="C8" s="23"/>
      <c r="D8" s="42"/>
    </row>
    <row r="9" spans="1:48" s="5" customFormat="1" ht="25.5" customHeight="1" thickBot="1" x14ac:dyDescent="0.3">
      <c r="A9" s="6"/>
      <c r="B9" s="6"/>
      <c r="C9" s="132"/>
      <c r="D9" s="133"/>
      <c r="E9" s="80">
        <v>2019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80">
        <v>2022</v>
      </c>
      <c r="AP9" s="80"/>
      <c r="AQ9" s="80"/>
      <c r="AR9" s="80"/>
      <c r="AS9" s="1"/>
      <c r="AT9" s="1"/>
      <c r="AU9" s="1"/>
      <c r="AV9" s="1"/>
    </row>
    <row r="10" spans="1:48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54</v>
      </c>
      <c r="AR10" s="68" t="s">
        <v>55</v>
      </c>
      <c r="AS10" s="68" t="s">
        <v>88</v>
      </c>
      <c r="AT10" s="1"/>
      <c r="AU10" s="1"/>
      <c r="AV10" s="1"/>
    </row>
    <row r="11" spans="1:48" s="5" customFormat="1" ht="16.5" customHeight="1" thickTop="1" x14ac:dyDescent="0.2">
      <c r="A11" s="118" t="s">
        <v>68</v>
      </c>
      <c r="B11" s="124" t="s">
        <v>31</v>
      </c>
      <c r="C11" s="27" t="s">
        <v>89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f>+AR11-AQ11</f>
        <v>6.1290322580645125</v>
      </c>
      <c r="AT11" s="1"/>
      <c r="AU11" s="1"/>
      <c r="AV11" s="1"/>
    </row>
    <row r="12" spans="1:48" s="5" customFormat="1" ht="16.5" customHeight="1" x14ac:dyDescent="0.2">
      <c r="A12" s="123"/>
      <c r="B12" s="125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f t="shared" ref="AS12:AS25" si="0">+AR12-AQ12</f>
        <v>32.161290322580669</v>
      </c>
      <c r="AT12" s="1"/>
      <c r="AU12" s="1"/>
      <c r="AV12" s="1"/>
    </row>
    <row r="13" spans="1:48" s="5" customFormat="1" ht="16.5" customHeight="1" x14ac:dyDescent="0.2">
      <c r="A13" s="123"/>
      <c r="B13" s="125"/>
      <c r="C13" s="27" t="s">
        <v>89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f t="shared" si="0"/>
        <v>-105</v>
      </c>
      <c r="AT13" s="1"/>
      <c r="AU13" s="1"/>
      <c r="AV13" s="1"/>
    </row>
    <row r="14" spans="1:48" s="5" customFormat="1" ht="16.5" customHeight="1" x14ac:dyDescent="0.2">
      <c r="A14" s="123"/>
      <c r="B14" s="125"/>
      <c r="C14" s="27" t="s">
        <v>85</v>
      </c>
      <c r="D14" s="28" t="s">
        <v>90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f t="shared" si="0"/>
        <v>105</v>
      </c>
      <c r="AT14" s="1"/>
      <c r="AU14" s="1"/>
      <c r="AV14" s="1"/>
    </row>
    <row r="15" spans="1:48" s="5" customFormat="1" ht="16.5" customHeight="1" x14ac:dyDescent="0.2">
      <c r="A15" s="123"/>
      <c r="B15" s="125"/>
      <c r="C15" s="27" t="s">
        <v>89</v>
      </c>
      <c r="D15" s="28" t="s">
        <v>2</v>
      </c>
      <c r="E15" s="75">
        <v>1832</v>
      </c>
      <c r="F15" s="75">
        <v>1954.1</v>
      </c>
      <c r="G15" s="75">
        <v>2382</v>
      </c>
      <c r="H15" s="75">
        <v>2574</v>
      </c>
      <c r="I15" s="75">
        <f>83227/31</f>
        <v>2684.7419354838707</v>
      </c>
      <c r="J15" s="75">
        <v>3220</v>
      </c>
      <c r="K15" s="75">
        <f>103886/31</f>
        <v>3351.1612903225805</v>
      </c>
      <c r="L15" s="75">
        <f>94649/31</f>
        <v>3053.1935483870966</v>
      </c>
      <c r="M15" s="75">
        <f>79209/30</f>
        <v>2640.3</v>
      </c>
      <c r="N15" s="75">
        <f>82157/31</f>
        <v>2650.2258064516127</v>
      </c>
      <c r="O15" s="75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f t="shared" si="0"/>
        <v>66.193548387096826</v>
      </c>
      <c r="AT15" s="1"/>
      <c r="AU15" s="1"/>
      <c r="AV15" s="1"/>
    </row>
    <row r="16" spans="1:48" s="5" customFormat="1" ht="16.5" customHeight="1" x14ac:dyDescent="0.2">
      <c r="A16" s="123"/>
      <c r="B16" s="125"/>
      <c r="C16" s="27" t="s">
        <v>85</v>
      </c>
      <c r="D16" s="28" t="s">
        <v>86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f t="shared" si="0"/>
        <v>-41.838709677419352</v>
      </c>
      <c r="AT16" s="1"/>
      <c r="AU16" s="1"/>
      <c r="AV16" s="1"/>
    </row>
    <row r="17" spans="1:48" s="5" customFormat="1" ht="16.5" customHeight="1" x14ac:dyDescent="0.2">
      <c r="A17" s="123"/>
      <c r="B17" s="125"/>
      <c r="C17" s="27" t="s">
        <v>89</v>
      </c>
      <c r="D17" s="28" t="s">
        <v>3</v>
      </c>
      <c r="E17" s="75">
        <v>98</v>
      </c>
      <c r="F17" s="75">
        <v>109.1</v>
      </c>
      <c r="G17" s="75">
        <v>106</v>
      </c>
      <c r="H17" s="75">
        <v>106</v>
      </c>
      <c r="I17" s="75">
        <v>105.61290322580645</v>
      </c>
      <c r="J17" s="75">
        <v>88</v>
      </c>
      <c r="K17" s="75">
        <v>119.61290322580645</v>
      </c>
      <c r="L17" s="75">
        <v>102.64516129032258</v>
      </c>
      <c r="M17" s="75">
        <v>106.83333333333333</v>
      </c>
      <c r="N17" s="75">
        <v>99.677419354838705</v>
      </c>
      <c r="O17" s="75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f t="shared" si="0"/>
        <v>36.612903225806448</v>
      </c>
      <c r="AT17" s="1"/>
      <c r="AU17" s="1"/>
      <c r="AV17" s="1"/>
    </row>
    <row r="18" spans="1:48" s="5" customFormat="1" ht="15.75" customHeight="1" x14ac:dyDescent="0.2">
      <c r="A18" s="123"/>
      <c r="B18" s="125"/>
      <c r="C18" s="27" t="s">
        <v>17</v>
      </c>
      <c r="D18" s="28" t="s">
        <v>40</v>
      </c>
      <c r="E18" s="75">
        <v>4187</v>
      </c>
      <c r="F18" s="75">
        <v>4157.1000000000004</v>
      </c>
      <c r="G18" s="75">
        <v>4070</v>
      </c>
      <c r="H18" s="75">
        <v>3904</v>
      </c>
      <c r="I18" s="75">
        <f>120055/31</f>
        <v>3872.7419354838707</v>
      </c>
      <c r="J18" s="75">
        <v>3842</v>
      </c>
      <c r="K18" s="75">
        <f>115250/31</f>
        <v>3717.7419354838707</v>
      </c>
      <c r="L18" s="75">
        <f>116677/31</f>
        <v>3763.7741935483873</v>
      </c>
      <c r="M18" s="75">
        <f>112577/30</f>
        <v>3752.5666666666666</v>
      </c>
      <c r="N18" s="75">
        <f>120051/31</f>
        <v>3872.6129032258063</v>
      </c>
      <c r="O18" s="75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f t="shared" si="0"/>
        <v>68.741935483870748</v>
      </c>
      <c r="AT18" s="1"/>
      <c r="AU18" s="1"/>
      <c r="AV18" s="1"/>
    </row>
    <row r="19" spans="1:48" s="5" customFormat="1" ht="16.5" hidden="1" customHeight="1" x14ac:dyDescent="0.2">
      <c r="A19" s="123"/>
      <c r="B19" s="125"/>
      <c r="C19" s="27" t="s">
        <v>17</v>
      </c>
      <c r="D19" s="28" t="s">
        <v>4</v>
      </c>
      <c r="E19" s="1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>
        <f t="shared" si="0"/>
        <v>0</v>
      </c>
      <c r="AT19" s="1"/>
      <c r="AU19" s="1"/>
      <c r="AV19" s="1"/>
    </row>
    <row r="20" spans="1:48" s="5" customFormat="1" ht="16.5" customHeight="1" x14ac:dyDescent="0.2">
      <c r="A20" s="123"/>
      <c r="B20" s="125"/>
      <c r="C20" s="27" t="s">
        <v>25</v>
      </c>
      <c r="D20" s="28" t="s">
        <v>5</v>
      </c>
      <c r="E20" s="75">
        <v>174</v>
      </c>
      <c r="F20" s="75">
        <v>171.1</v>
      </c>
      <c r="G20" s="75">
        <v>173</v>
      </c>
      <c r="H20" s="75">
        <v>171</v>
      </c>
      <c r="I20" s="75">
        <v>165.29032258064515</v>
      </c>
      <c r="J20" s="75">
        <v>171</v>
      </c>
      <c r="K20" s="75">
        <v>171.16129032258064</v>
      </c>
      <c r="L20" s="75">
        <v>161.35483870967741</v>
      </c>
      <c r="M20" s="75">
        <v>166.76666666666668</v>
      </c>
      <c r="N20" s="75">
        <v>170.74193548387098</v>
      </c>
      <c r="O20" s="75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f t="shared" si="0"/>
        <v>-3.0645161290322562</v>
      </c>
      <c r="AT20" s="1"/>
      <c r="AU20" s="1"/>
      <c r="AV20" s="1"/>
    </row>
    <row r="21" spans="1:48" s="5" customFormat="1" ht="16.5" hidden="1" customHeight="1" x14ac:dyDescent="0.2">
      <c r="A21" s="123"/>
      <c r="B21" s="125"/>
      <c r="C21" s="27" t="s">
        <v>21</v>
      </c>
      <c r="D21" s="28" t="s">
        <v>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>
        <f t="shared" si="0"/>
        <v>0</v>
      </c>
      <c r="AT21" s="1"/>
      <c r="AU21" s="1"/>
      <c r="AV21" s="1"/>
    </row>
    <row r="22" spans="1:48" s="5" customFormat="1" ht="16.5" customHeight="1" x14ac:dyDescent="0.2">
      <c r="A22" s="123"/>
      <c r="B22" s="125"/>
      <c r="C22" s="27" t="s">
        <v>76</v>
      </c>
      <c r="D22" s="28" t="s">
        <v>6</v>
      </c>
      <c r="E22" s="75">
        <v>13636</v>
      </c>
      <c r="F22" s="75">
        <v>13663</v>
      </c>
      <c r="G22" s="75">
        <v>13886</v>
      </c>
      <c r="H22" s="75">
        <v>14174.96</v>
      </c>
      <c r="I22" s="75">
        <f>445432/31</f>
        <v>14368.774193548386</v>
      </c>
      <c r="J22" s="75">
        <v>14391</v>
      </c>
      <c r="K22" s="75">
        <f>446939/31</f>
        <v>14417.387096774193</v>
      </c>
      <c r="L22" s="75">
        <f>411601/31</f>
        <v>13277.451612903225</v>
      </c>
      <c r="M22" s="75">
        <f>456346/30</f>
        <v>15211.533333333333</v>
      </c>
      <c r="N22" s="75">
        <f>471561/31</f>
        <v>15211.645161290322</v>
      </c>
      <c r="O22" s="75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f t="shared" si="0"/>
        <v>-197.7419354838712</v>
      </c>
      <c r="AT22" s="1"/>
      <c r="AU22" s="1"/>
      <c r="AV22" s="1"/>
    </row>
    <row r="23" spans="1:48" s="5" customFormat="1" ht="16.5" customHeight="1" x14ac:dyDescent="0.2">
      <c r="A23" s="123"/>
      <c r="B23" s="125"/>
      <c r="C23" s="27" t="s">
        <v>28</v>
      </c>
      <c r="D23" s="28" t="s">
        <v>29</v>
      </c>
      <c r="E23" s="75">
        <v>1982</v>
      </c>
      <c r="F23" s="75">
        <v>1964.1</v>
      </c>
      <c r="G23" s="75">
        <v>1859</v>
      </c>
      <c r="H23" s="75">
        <v>2107</v>
      </c>
      <c r="I23" s="75">
        <f>59558/31</f>
        <v>1921.2258064516129</v>
      </c>
      <c r="J23" s="75">
        <v>1955</v>
      </c>
      <c r="K23" s="75">
        <f>66570/31</f>
        <v>2147.4193548387098</v>
      </c>
      <c r="L23" s="75">
        <f>66497/31</f>
        <v>2145.0645161290322</v>
      </c>
      <c r="M23" s="75">
        <f>63313/30</f>
        <v>2110.4333333333334</v>
      </c>
      <c r="N23" s="75">
        <f>56207/31</f>
        <v>1813.1290322580646</v>
      </c>
      <c r="O23" s="75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f t="shared" si="0"/>
        <v>617.38709677419365</v>
      </c>
      <c r="AT23" s="1"/>
      <c r="AU23" s="1"/>
      <c r="AV23" s="1"/>
    </row>
    <row r="24" spans="1:48" s="5" customFormat="1" ht="16.5" customHeight="1" x14ac:dyDescent="0.2">
      <c r="A24" s="123"/>
      <c r="B24" s="125"/>
      <c r="C24" s="27" t="s">
        <v>71</v>
      </c>
      <c r="D24" s="28" t="s">
        <v>27</v>
      </c>
      <c r="E24" s="75">
        <v>35</v>
      </c>
      <c r="F24" s="75">
        <v>33</v>
      </c>
      <c r="G24" s="75">
        <v>32</v>
      </c>
      <c r="H24" s="75">
        <v>34</v>
      </c>
      <c r="I24" s="75">
        <v>33.096774193548384</v>
      </c>
      <c r="J24" s="75">
        <v>33</v>
      </c>
      <c r="K24" s="75">
        <v>32.387096774193552</v>
      </c>
      <c r="L24" s="75">
        <v>33.41935483870968</v>
      </c>
      <c r="M24" s="75">
        <v>33.4</v>
      </c>
      <c r="N24" s="75">
        <v>42.967741935483872</v>
      </c>
      <c r="O24" s="75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f t="shared" si="0"/>
        <v>0.45161290322580783</v>
      </c>
      <c r="AT24" s="1"/>
      <c r="AU24" s="1"/>
      <c r="AV24" s="1"/>
    </row>
    <row r="25" spans="1:48" s="5" customFormat="1" ht="16.5" customHeight="1" thickBot="1" x14ac:dyDescent="0.25">
      <c r="A25" s="123"/>
      <c r="B25" s="125"/>
      <c r="C25" s="27" t="s">
        <v>71</v>
      </c>
      <c r="D25" s="28" t="s">
        <v>49</v>
      </c>
      <c r="E25" s="75">
        <v>16</v>
      </c>
      <c r="F25" s="75">
        <v>19.100000000000001</v>
      </c>
      <c r="G25" s="75">
        <v>19</v>
      </c>
      <c r="H25" s="75">
        <v>16</v>
      </c>
      <c r="I25" s="75">
        <v>15.290322580645162</v>
      </c>
      <c r="J25" s="75">
        <v>15</v>
      </c>
      <c r="K25" s="75">
        <v>15.193548387096774</v>
      </c>
      <c r="L25" s="75">
        <v>13.548387096774194</v>
      </c>
      <c r="M25" s="75">
        <v>14.933333333333334</v>
      </c>
      <c r="N25" s="75">
        <v>15.290322580645162</v>
      </c>
      <c r="O25" s="75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f t="shared" si="0"/>
        <v>-0.64516129032258007</v>
      </c>
      <c r="AT25" s="1"/>
      <c r="AU25" s="1"/>
      <c r="AV25" s="1"/>
    </row>
    <row r="26" spans="1:48" s="5" customFormat="1" ht="21.75" customHeight="1" thickTop="1" thickBot="1" x14ac:dyDescent="0.25">
      <c r="B26" s="29"/>
      <c r="C26" s="120" t="s">
        <v>46</v>
      </c>
      <c r="D26" s="120"/>
      <c r="E26" s="31">
        <f t="shared" ref="E26:Y26" si="1">+SUM(E11:E25)</f>
        <v>23587</v>
      </c>
      <c r="F26" s="31">
        <f t="shared" si="1"/>
        <v>23630.899999999998</v>
      </c>
      <c r="G26" s="31">
        <f t="shared" si="1"/>
        <v>24055</v>
      </c>
      <c r="H26" s="31">
        <f t="shared" si="1"/>
        <v>24773.72</v>
      </c>
      <c r="I26" s="31">
        <f t="shared" si="1"/>
        <v>24820.903225806451</v>
      </c>
      <c r="J26" s="31">
        <f t="shared" si="1"/>
        <v>25310</v>
      </c>
      <c r="K26" s="31">
        <f t="shared" si="1"/>
        <v>25638.741935483871</v>
      </c>
      <c r="L26" s="31">
        <f t="shared" si="1"/>
        <v>24295.387096774193</v>
      </c>
      <c r="M26" s="31">
        <f t="shared" si="1"/>
        <v>25812.733333333337</v>
      </c>
      <c r="N26" s="31">
        <f t="shared" si="1"/>
        <v>25735.870967741936</v>
      </c>
      <c r="O26" s="31">
        <f t="shared" si="1"/>
        <v>25472.033333333336</v>
      </c>
      <c r="P26" s="31">
        <f t="shared" si="1"/>
        <v>24480</v>
      </c>
      <c r="Q26" s="31">
        <f t="shared" si="1"/>
        <v>24815</v>
      </c>
      <c r="R26" s="31">
        <f t="shared" si="1"/>
        <v>24462</v>
      </c>
      <c r="S26" s="31">
        <f t="shared" si="1"/>
        <v>24384</v>
      </c>
      <c r="T26" s="31">
        <f t="shared" si="1"/>
        <v>22633</v>
      </c>
      <c r="U26" s="31">
        <f t="shared" si="1"/>
        <v>22177</v>
      </c>
      <c r="V26" s="31">
        <f t="shared" si="1"/>
        <v>21822</v>
      </c>
      <c r="W26" s="31">
        <f t="shared" si="1"/>
        <v>21632</v>
      </c>
      <c r="X26" s="31">
        <f t="shared" si="1"/>
        <v>21278</v>
      </c>
      <c r="Y26" s="31">
        <f t="shared" si="1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2">+SUM(AE11:AE25)</f>
        <v>19749</v>
      </c>
      <c r="AF26" s="31">
        <f t="shared" si="2"/>
        <v>19781</v>
      </c>
      <c r="AG26" s="31">
        <f t="shared" si="2"/>
        <v>20330.193548387095</v>
      </c>
      <c r="AH26" s="31">
        <f t="shared" si="2"/>
        <v>20859.466666666664</v>
      </c>
      <c r="AI26" s="31">
        <f t="shared" si="2"/>
        <v>20866.483870967742</v>
      </c>
      <c r="AJ26" s="31">
        <f t="shared" si="2"/>
        <v>21026.193548387095</v>
      </c>
      <c r="AK26" s="31">
        <f t="shared" ref="AK26:AR26" si="3">+SUM(AK11:AK25)</f>
        <v>20908</v>
      </c>
      <c r="AL26" s="31">
        <f t="shared" si="3"/>
        <v>21680</v>
      </c>
      <c r="AM26" s="31">
        <f t="shared" si="3"/>
        <v>22261</v>
      </c>
      <c r="AN26" s="31">
        <f t="shared" si="3"/>
        <v>21713</v>
      </c>
      <c r="AO26" s="31">
        <f t="shared" si="3"/>
        <v>21439.387096774193</v>
      </c>
      <c r="AP26" s="31">
        <f t="shared" si="3"/>
        <v>20643</v>
      </c>
      <c r="AQ26" s="31">
        <f t="shared" si="3"/>
        <v>20953.612903225803</v>
      </c>
      <c r="AR26" s="31">
        <f t="shared" si="3"/>
        <v>21538</v>
      </c>
      <c r="AS26" s="31">
        <f>SUM(AS11:AS25)</f>
        <v>584.38709677419331</v>
      </c>
      <c r="AT26" s="1"/>
      <c r="AU26" s="1"/>
      <c r="AV26" s="1"/>
    </row>
    <row r="27" spans="1:48" s="5" customFormat="1" ht="16.5" customHeight="1" thickTop="1" thickBot="1" x14ac:dyDescent="0.25">
      <c r="A27" s="117" t="s">
        <v>41</v>
      </c>
      <c r="B27" s="119" t="s">
        <v>77</v>
      </c>
      <c r="C27" s="27" t="s">
        <v>66</v>
      </c>
      <c r="D27" s="28" t="s">
        <v>15</v>
      </c>
      <c r="E27" s="75">
        <v>7603</v>
      </c>
      <c r="F27" s="75">
        <v>8115.1</v>
      </c>
      <c r="G27" s="75">
        <v>7280</v>
      </c>
      <c r="H27" s="75">
        <v>7522</v>
      </c>
      <c r="I27" s="75">
        <f>222909/31</f>
        <v>7190.6129032258068</v>
      </c>
      <c r="J27" s="75">
        <v>6789</v>
      </c>
      <c r="K27" s="75">
        <f>216346/31</f>
        <v>6978.9032258064517</v>
      </c>
      <c r="L27" s="75">
        <f>227463/31</f>
        <v>7337.5161290322585</v>
      </c>
      <c r="M27" s="75">
        <f>212302/30</f>
        <v>7076.7333333333336</v>
      </c>
      <c r="N27" s="75">
        <f>209422/31</f>
        <v>6755.5483870967746</v>
      </c>
      <c r="O27" s="75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f>+AQ27-AP27</f>
        <v>-324.9677419354839</v>
      </c>
      <c r="AT27" s="1"/>
      <c r="AU27" s="1"/>
      <c r="AV27" s="1"/>
    </row>
    <row r="28" spans="1:48" s="5" customFormat="1" ht="16.5" hidden="1" customHeight="1" thickTop="1" thickBot="1" x14ac:dyDescent="0.25">
      <c r="A28" s="117"/>
      <c r="B28" s="119"/>
      <c r="C28" s="27" t="s">
        <v>66</v>
      </c>
      <c r="D28" s="28"/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>
        <f t="shared" ref="AS28" si="4">+AN28-AM28</f>
        <v>0</v>
      </c>
      <c r="AT28" s="1"/>
      <c r="AU28" s="1"/>
      <c r="AV28" s="1"/>
    </row>
    <row r="29" spans="1:48" s="5" customFormat="1" ht="16.5" customHeight="1" thickTop="1" thickBot="1" x14ac:dyDescent="0.25">
      <c r="A29" s="117"/>
      <c r="B29" s="119"/>
      <c r="C29" s="27" t="s">
        <v>66</v>
      </c>
      <c r="D29" s="28" t="s">
        <v>67</v>
      </c>
      <c r="E29" s="17">
        <v>111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f>+AQ29-AP29</f>
        <v>0</v>
      </c>
      <c r="AT29" s="1"/>
      <c r="AU29" s="1"/>
      <c r="AV29" s="1"/>
    </row>
    <row r="30" spans="1:48" s="5" customFormat="1" ht="21" customHeight="1" thickTop="1" thickBot="1" x14ac:dyDescent="0.25">
      <c r="A30" s="118"/>
      <c r="B30" s="76" t="s">
        <v>51</v>
      </c>
      <c r="C30" s="27" t="s">
        <v>64</v>
      </c>
      <c r="D30" s="28" t="s">
        <v>50</v>
      </c>
      <c r="E30" s="17">
        <v>0</v>
      </c>
      <c r="F30" s="75">
        <v>2861.1</v>
      </c>
      <c r="G30" s="75">
        <v>1829</v>
      </c>
      <c r="H30" s="75">
        <v>0</v>
      </c>
      <c r="I30" s="75">
        <f>58432/31</f>
        <v>1884.9032258064517</v>
      </c>
      <c r="J30" s="75">
        <v>1833</v>
      </c>
      <c r="K30" s="75">
        <v>0</v>
      </c>
      <c r="L30" s="75">
        <f>54420/31</f>
        <v>1755.483870967742</v>
      </c>
      <c r="M30" s="75">
        <f>53815/30</f>
        <v>1793.8333333333333</v>
      </c>
      <c r="N30" s="75">
        <v>0</v>
      </c>
      <c r="O30" s="75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f>+AQ30-AP30</f>
        <v>0</v>
      </c>
      <c r="AT30" s="1"/>
      <c r="AU30" s="1"/>
      <c r="AV30" s="1"/>
    </row>
    <row r="31" spans="1:48" s="5" customFormat="1" ht="19.5" customHeight="1" thickTop="1" thickBot="1" x14ac:dyDescent="0.25">
      <c r="B31" s="34"/>
      <c r="C31" s="126" t="s">
        <v>47</v>
      </c>
      <c r="D31" s="126"/>
      <c r="E31" s="37">
        <f t="shared" ref="E31:Y31" si="5">+SUM(E27:E30)</f>
        <v>7714</v>
      </c>
      <c r="F31" s="37">
        <f t="shared" si="5"/>
        <v>10976.2</v>
      </c>
      <c r="G31" s="37">
        <f t="shared" si="5"/>
        <v>9109</v>
      </c>
      <c r="H31" s="37">
        <f t="shared" si="5"/>
        <v>7522</v>
      </c>
      <c r="I31" s="37">
        <f t="shared" si="5"/>
        <v>9075.5161290322576</v>
      </c>
      <c r="J31" s="37">
        <f t="shared" si="5"/>
        <v>8622</v>
      </c>
      <c r="K31" s="37">
        <f t="shared" si="5"/>
        <v>6978.9032258064517</v>
      </c>
      <c r="L31" s="37">
        <f t="shared" si="5"/>
        <v>9093</v>
      </c>
      <c r="M31" s="37">
        <f t="shared" si="5"/>
        <v>8870.5666666666675</v>
      </c>
      <c r="N31" s="37">
        <f t="shared" si="5"/>
        <v>6755.5483870967746</v>
      </c>
      <c r="O31" s="37">
        <f t="shared" si="5"/>
        <v>9128.4333333333325</v>
      </c>
      <c r="P31" s="37">
        <f t="shared" si="5"/>
        <v>8066</v>
      </c>
      <c r="Q31" s="37">
        <f t="shared" si="5"/>
        <v>6739</v>
      </c>
      <c r="R31" s="37">
        <f t="shared" si="5"/>
        <v>7401</v>
      </c>
      <c r="S31" s="37">
        <f t="shared" si="5"/>
        <v>6036</v>
      </c>
      <c r="T31" s="37">
        <f t="shared" si="5"/>
        <v>6554</v>
      </c>
      <c r="U31" s="37">
        <f t="shared" si="5"/>
        <v>6625</v>
      </c>
      <c r="V31" s="37">
        <f t="shared" si="5"/>
        <v>6046</v>
      </c>
      <c r="W31" s="37">
        <f t="shared" si="5"/>
        <v>6142</v>
      </c>
      <c r="X31" s="37">
        <f t="shared" si="5"/>
        <v>6309</v>
      </c>
      <c r="Y31" s="37">
        <f t="shared" si="5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6">+SUM(AE27:AE30)</f>
        <v>5821</v>
      </c>
      <c r="AF31" s="37">
        <f t="shared" si="6"/>
        <v>5827</v>
      </c>
      <c r="AG31" s="37">
        <f t="shared" si="6"/>
        <v>6088.0967741935483</v>
      </c>
      <c r="AH31" s="37">
        <f t="shared" si="6"/>
        <v>5705.3666666666668</v>
      </c>
      <c r="AI31" s="37">
        <f t="shared" si="6"/>
        <v>6161.8064516129034</v>
      </c>
      <c r="AJ31" s="37">
        <f t="shared" si="6"/>
        <v>5829.2903225806449</v>
      </c>
      <c r="AK31" s="37">
        <f t="shared" si="6"/>
        <v>5539</v>
      </c>
      <c r="AL31" s="37">
        <f t="shared" si="6"/>
        <v>5783</v>
      </c>
      <c r="AM31" s="37">
        <f t="shared" si="6"/>
        <v>5736</v>
      </c>
      <c r="AN31" s="37">
        <f t="shared" si="6"/>
        <v>5781</v>
      </c>
      <c r="AO31" s="37">
        <f t="shared" si="6"/>
        <v>5560.3548387096771</v>
      </c>
      <c r="AP31" s="37">
        <f t="shared" si="6"/>
        <v>5709</v>
      </c>
      <c r="AQ31" s="37">
        <f>+SUM(AQ27:AQ30)</f>
        <v>5384.0322580645161</v>
      </c>
      <c r="AR31" s="37">
        <f>+SUM(AR27:AR30)</f>
        <v>5343</v>
      </c>
      <c r="AS31" s="37">
        <f>SUM(AS27:AS30)</f>
        <v>-324.9677419354839</v>
      </c>
      <c r="AT31" s="1"/>
      <c r="AU31" s="1"/>
      <c r="AV31" s="1"/>
    </row>
    <row r="32" spans="1:48" s="5" customFormat="1" ht="15.75" hidden="1" customHeight="1" thickTop="1" thickBot="1" x14ac:dyDescent="0.25">
      <c r="A32" s="117" t="s">
        <v>69</v>
      </c>
      <c r="B32" s="119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7">+P32-O32</f>
        <v>0</v>
      </c>
      <c r="T32" s="17">
        <f t="shared" si="7"/>
        <v>0</v>
      </c>
      <c r="U32" s="17">
        <f t="shared" si="7"/>
        <v>0</v>
      </c>
      <c r="V32" s="17">
        <f t="shared" si="7"/>
        <v>0</v>
      </c>
      <c r="W32" s="17">
        <f t="shared" si="7"/>
        <v>0</v>
      </c>
      <c r="X32" s="17">
        <f t="shared" si="7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>
        <f t="shared" ref="AS32" si="8">+AB32-AA32</f>
        <v>0</v>
      </c>
      <c r="AT32" s="1"/>
      <c r="AU32" s="1"/>
      <c r="AV32" s="1"/>
    </row>
    <row r="33" spans="1:48" s="5" customFormat="1" ht="15.75" customHeight="1" thickTop="1" thickBot="1" x14ac:dyDescent="0.25">
      <c r="A33" s="117"/>
      <c r="B33" s="119"/>
      <c r="C33" s="27" t="s">
        <v>75</v>
      </c>
      <c r="D33" s="28">
        <v>192</v>
      </c>
      <c r="E33" s="17">
        <v>0</v>
      </c>
      <c r="F33" s="75">
        <v>0</v>
      </c>
      <c r="G33" s="75">
        <v>5648</v>
      </c>
      <c r="H33" s="75">
        <v>10838</v>
      </c>
      <c r="I33" s="75">
        <f>313077/31</f>
        <v>10099.258064516129</v>
      </c>
      <c r="J33" s="75">
        <v>7102</v>
      </c>
      <c r="K33" s="75">
        <f>35351/31</f>
        <v>1140.3548387096773</v>
      </c>
      <c r="L33" s="75">
        <f>256881/31</f>
        <v>8286.4838709677424</v>
      </c>
      <c r="M33" s="75">
        <f>257608/30</f>
        <v>8586.9333333333325</v>
      </c>
      <c r="N33" s="75">
        <f>312614/31</f>
        <v>10084.322580645161</v>
      </c>
      <c r="O33" s="75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f>+AQ33-AP33</f>
        <v>0</v>
      </c>
      <c r="AT33" s="1"/>
      <c r="AU33" s="1"/>
      <c r="AV33" s="1"/>
    </row>
    <row r="34" spans="1:48" s="5" customFormat="1" ht="15.75" customHeight="1" thickTop="1" thickBot="1" x14ac:dyDescent="0.25">
      <c r="A34" s="117"/>
      <c r="B34" s="119"/>
      <c r="C34" s="27" t="s">
        <v>18</v>
      </c>
      <c r="D34" s="28">
        <v>8</v>
      </c>
      <c r="E34" s="75">
        <v>1596</v>
      </c>
      <c r="F34" s="75">
        <v>7352.1</v>
      </c>
      <c r="G34" s="75">
        <v>6867</v>
      </c>
      <c r="H34" s="75">
        <v>4484</v>
      </c>
      <c r="I34" s="75">
        <f>168000/31</f>
        <v>5419.3548387096771</v>
      </c>
      <c r="J34" s="75">
        <v>445</v>
      </c>
      <c r="K34" s="75">
        <f>71580/31</f>
        <v>2309.0322580645161</v>
      </c>
      <c r="L34" s="75">
        <f>165606/31</f>
        <v>5342.1290322580644</v>
      </c>
      <c r="M34" s="75">
        <f>169662/30</f>
        <v>5655.4</v>
      </c>
      <c r="N34" s="75">
        <f>78726/31</f>
        <v>2539.5483870967741</v>
      </c>
      <c r="O34" s="75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f>+AQ34-AP34</f>
        <v>0</v>
      </c>
      <c r="AT34" s="1"/>
      <c r="AU34" s="1"/>
      <c r="AV34" s="1"/>
    </row>
    <row r="35" spans="1:48" s="5" customFormat="1" ht="19.5" hidden="1" customHeight="1" thickTop="1" thickBot="1" x14ac:dyDescent="0.25">
      <c r="A35" s="117" t="s">
        <v>70</v>
      </c>
      <c r="B35" s="77" t="s">
        <v>43</v>
      </c>
      <c r="C35" s="27" t="s">
        <v>7</v>
      </c>
      <c r="D35" s="28" t="s">
        <v>16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/>
      <c r="O35" s="7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>
        <f t="shared" ref="AS35:AS40" si="9">+AN35-AM35</f>
        <v>0</v>
      </c>
      <c r="AT35" s="1"/>
      <c r="AU35" s="1"/>
      <c r="AV35" s="1"/>
    </row>
    <row r="36" spans="1:48" s="5" customFormat="1" ht="19.5" hidden="1" customHeight="1" thickTop="1" thickBot="1" x14ac:dyDescent="0.25">
      <c r="A36" s="118"/>
      <c r="B36" s="76" t="s">
        <v>32</v>
      </c>
      <c r="C36" s="27" t="s">
        <v>7</v>
      </c>
      <c r="D36" s="28" t="s">
        <v>33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/>
      <c r="O36" s="7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>
        <f t="shared" si="9"/>
        <v>0</v>
      </c>
      <c r="AT36" s="1"/>
      <c r="AU36" s="1"/>
      <c r="AV36" s="1"/>
    </row>
    <row r="37" spans="1:48" s="5" customFormat="1" ht="19.5" customHeight="1" thickTop="1" thickBot="1" x14ac:dyDescent="0.25">
      <c r="A37" s="76"/>
      <c r="B37" s="39"/>
      <c r="C37" s="27" t="s">
        <v>74</v>
      </c>
      <c r="D37" s="28">
        <v>67</v>
      </c>
      <c r="E37" s="75">
        <v>812</v>
      </c>
      <c r="F37" s="75">
        <v>753.1</v>
      </c>
      <c r="G37" s="75">
        <v>1614</v>
      </c>
      <c r="H37" s="75">
        <v>1430</v>
      </c>
      <c r="I37" s="75">
        <f>38607/31</f>
        <v>1245.3870967741937</v>
      </c>
      <c r="J37" s="75">
        <v>1126</v>
      </c>
      <c r="K37" s="75">
        <v>425.12903225806451</v>
      </c>
      <c r="L37" s="75">
        <f>39858/31</f>
        <v>1285.741935483871</v>
      </c>
      <c r="M37" s="75">
        <f>64552/30</f>
        <v>2151.7333333333331</v>
      </c>
      <c r="N37" s="75">
        <f>51433/31</f>
        <v>1659.1290322580646</v>
      </c>
      <c r="O37" s="75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f>+AQ37-AP37</f>
        <v>911.0967741935483</v>
      </c>
      <c r="AT37" s="1"/>
      <c r="AU37" s="1"/>
      <c r="AV37" s="1"/>
    </row>
    <row r="38" spans="1:48" s="5" customFormat="1" ht="19.5" customHeight="1" thickTop="1" thickBot="1" x14ac:dyDescent="0.25">
      <c r="A38" s="76"/>
      <c r="B38" s="39"/>
      <c r="C38" s="27" t="s">
        <v>73</v>
      </c>
      <c r="D38" s="28">
        <v>131</v>
      </c>
      <c r="E38" s="75">
        <v>3435</v>
      </c>
      <c r="F38" s="75">
        <v>3462.1</v>
      </c>
      <c r="G38" s="75">
        <v>3094</v>
      </c>
      <c r="H38" s="75">
        <v>3008.7</v>
      </c>
      <c r="I38" s="75">
        <f>95063/31</f>
        <v>3066.5483870967741</v>
      </c>
      <c r="J38" s="75">
        <v>3063</v>
      </c>
      <c r="K38" s="75">
        <f>93928/31</f>
        <v>3029.9354838709678</v>
      </c>
      <c r="L38" s="75">
        <f>90998/31</f>
        <v>2935.4193548387098</v>
      </c>
      <c r="M38" s="75">
        <f>93778/30</f>
        <v>3125.9333333333334</v>
      </c>
      <c r="N38" s="75">
        <f>92417/31</f>
        <v>2981.1935483870966</v>
      </c>
      <c r="O38" s="75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f>+AQ38-AP38</f>
        <v>-45.322580645161224</v>
      </c>
      <c r="AT38" s="1"/>
      <c r="AU38" s="1"/>
      <c r="AV38" s="1"/>
    </row>
    <row r="39" spans="1:48" s="5" customFormat="1" ht="19.5" hidden="1" customHeight="1" thickTop="1" thickBot="1" x14ac:dyDescent="0.25">
      <c r="A39" s="76"/>
      <c r="B39" s="39"/>
      <c r="C39" s="27" t="s">
        <v>72</v>
      </c>
      <c r="D39" s="28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>
        <f t="shared" si="9"/>
        <v>0</v>
      </c>
      <c r="AT39" s="1"/>
      <c r="AU39" s="1"/>
      <c r="AV39" s="1"/>
    </row>
    <row r="40" spans="1:48" s="5" customFormat="1" ht="19.5" hidden="1" customHeight="1" thickTop="1" thickBot="1" x14ac:dyDescent="0.25">
      <c r="A40" s="76"/>
      <c r="B40" s="39"/>
      <c r="C40" s="27" t="s">
        <v>18</v>
      </c>
      <c r="D40" s="28">
        <v>102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>
        <f t="shared" si="9"/>
        <v>0</v>
      </c>
      <c r="AT40" s="1"/>
      <c r="AU40" s="1"/>
      <c r="AV40" s="1"/>
    </row>
    <row r="41" spans="1:48" s="5" customFormat="1" ht="19.5" customHeight="1" thickTop="1" thickBot="1" x14ac:dyDescent="0.25">
      <c r="A41" s="73"/>
      <c r="B41" s="39"/>
      <c r="C41" s="27" t="s">
        <v>82</v>
      </c>
      <c r="D41" s="28">
        <v>95</v>
      </c>
      <c r="E41" s="75">
        <v>807</v>
      </c>
      <c r="F41" s="75">
        <v>949.1</v>
      </c>
      <c r="G41" s="75">
        <v>968</v>
      </c>
      <c r="H41" s="75">
        <v>1711</v>
      </c>
      <c r="I41" s="75">
        <f>88291/31</f>
        <v>2848.0967741935483</v>
      </c>
      <c r="J41" s="75">
        <v>4321</v>
      </c>
      <c r="K41" s="75">
        <f>136231/31</f>
        <v>4394.5483870967746</v>
      </c>
      <c r="L41" s="75">
        <f>159098/31</f>
        <v>5132.1935483870966</v>
      </c>
      <c r="M41" s="75">
        <f>148440/30</f>
        <v>4948</v>
      </c>
      <c r="N41" s="75">
        <f>194945/31</f>
        <v>6288.5483870967746</v>
      </c>
      <c r="O41" s="75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f>+AQ41-AP41</f>
        <v>-21121</v>
      </c>
      <c r="AT41" s="1"/>
      <c r="AU41" s="1"/>
      <c r="AV41" s="1"/>
    </row>
    <row r="42" spans="1:48" s="5" customFormat="1" ht="20.25" customHeight="1" thickTop="1" x14ac:dyDescent="0.2">
      <c r="B42" s="44"/>
      <c r="C42" s="128" t="s">
        <v>48</v>
      </c>
      <c r="D42" s="128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0">+SUM(I33:I41)</f>
        <v>22678.645161290322</v>
      </c>
      <c r="J42" s="40">
        <f t="shared" si="10"/>
        <v>16057</v>
      </c>
      <c r="K42" s="40">
        <f t="shared" si="10"/>
        <v>11299</v>
      </c>
      <c r="L42" s="40">
        <f t="shared" si="10"/>
        <v>22981.967741935485</v>
      </c>
      <c r="M42" s="40">
        <f t="shared" si="10"/>
        <v>24468</v>
      </c>
      <c r="N42" s="40">
        <f t="shared" si="10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1">+SUM(Q33:Q41)</f>
        <v>28250</v>
      </c>
      <c r="R42" s="40">
        <f t="shared" si="11"/>
        <v>29297</v>
      </c>
      <c r="S42" s="40">
        <f t="shared" si="11"/>
        <v>20112</v>
      </c>
      <c r="T42" s="40">
        <f t="shared" si="11"/>
        <v>16614</v>
      </c>
      <c r="U42" s="40">
        <f t="shared" si="11"/>
        <v>2744</v>
      </c>
      <c r="V42" s="40">
        <f t="shared" si="11"/>
        <v>2072</v>
      </c>
      <c r="W42" s="40">
        <f t="shared" ref="W42:AB42" si="12">+SUM(W33:W41)</f>
        <v>6957</v>
      </c>
      <c r="X42" s="40">
        <f t="shared" si="12"/>
        <v>3628</v>
      </c>
      <c r="Y42" s="40">
        <f t="shared" si="12"/>
        <v>2468</v>
      </c>
      <c r="Z42" s="40">
        <f t="shared" si="12"/>
        <v>10978</v>
      </c>
      <c r="AA42" s="40">
        <f t="shared" si="12"/>
        <v>6839</v>
      </c>
      <c r="AB42" s="40">
        <f t="shared" si="12"/>
        <v>5977</v>
      </c>
      <c r="AC42" s="40">
        <f>SUM(AC33:AC41)</f>
        <v>9349</v>
      </c>
      <c r="AD42" s="40">
        <f>SUM(AD33:AD41)</f>
        <v>8643</v>
      </c>
      <c r="AE42" s="40">
        <f t="shared" ref="AE42:AG42" si="13">+SUM(AE33:AE41)</f>
        <v>9253</v>
      </c>
      <c r="AF42" s="40">
        <f t="shared" si="13"/>
        <v>10844</v>
      </c>
      <c r="AG42" s="40">
        <f t="shared" si="13"/>
        <v>14709.741935483871</v>
      </c>
      <c r="AH42" s="40">
        <f t="shared" ref="AH42" si="14">+SUM(AH33:AH41)</f>
        <v>12316.566666666666</v>
      </c>
      <c r="AI42" s="40">
        <f>+SUM(AI33:AI41)</f>
        <v>11859.354838709678</v>
      </c>
      <c r="AJ42" s="40">
        <f t="shared" ref="AJ42:AO42" si="15">+SUM(AJ33:AJ41)</f>
        <v>10844.161290322581</v>
      </c>
      <c r="AK42" s="40">
        <f t="shared" si="15"/>
        <v>14845</v>
      </c>
      <c r="AL42" s="40">
        <f t="shared" si="15"/>
        <v>16822</v>
      </c>
      <c r="AM42" s="40">
        <f t="shared" si="15"/>
        <v>9927</v>
      </c>
      <c r="AN42" s="40">
        <f t="shared" si="15"/>
        <v>11109</v>
      </c>
      <c r="AO42" s="40">
        <f t="shared" si="15"/>
        <v>15524.774193548386</v>
      </c>
      <c r="AP42" s="40">
        <f t="shared" ref="AP42" si="16">+SUM(AP33:AP41)</f>
        <v>22894</v>
      </c>
      <c r="AQ42" s="40">
        <f>+SUM(AQ33:AQ41)</f>
        <v>2638.7741935483873</v>
      </c>
      <c r="AR42" s="40">
        <f>+SUM(AR33:AR41)</f>
        <v>15018</v>
      </c>
      <c r="AS42" s="40">
        <f>SUM(AS33:AS41)</f>
        <v>-20255.225806451614</v>
      </c>
      <c r="AT42" s="1"/>
      <c r="AU42" s="1"/>
      <c r="AV42" s="1"/>
    </row>
    <row r="43" spans="1:48" s="46" customFormat="1" ht="20.25" customHeight="1" x14ac:dyDescent="0.2">
      <c r="B43" s="47"/>
      <c r="C43" s="48"/>
      <c r="D43" s="48"/>
      <c r="E43" s="51"/>
      <c r="F43" s="51"/>
      <c r="G43" s="51"/>
      <c r="H43" s="51"/>
      <c r="I43" s="51"/>
      <c r="J43" s="51"/>
      <c r="K43" s="5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</row>
    <row r="44" spans="1:48" s="5" customFormat="1" ht="41.25" customHeight="1" thickBot="1" x14ac:dyDescent="0.25">
      <c r="B44" s="45"/>
      <c r="C44" s="127" t="s">
        <v>78</v>
      </c>
      <c r="D44" s="127"/>
      <c r="E44" s="70">
        <f>+E26+E31+E42</f>
        <v>37951</v>
      </c>
      <c r="F44" s="70">
        <f>+F26+F31+F42</f>
        <v>47123.5</v>
      </c>
      <c r="G44" s="70">
        <f>+G26+G31+G42</f>
        <v>51355</v>
      </c>
      <c r="H44" s="70">
        <f>+H26+H31+H42</f>
        <v>53767.42</v>
      </c>
      <c r="I44" s="70">
        <f>+I26+I31+I42</f>
        <v>56575.06451612903</v>
      </c>
      <c r="J44" s="70">
        <f>+J26+J31+J42-1</f>
        <v>49988</v>
      </c>
      <c r="K44" s="70">
        <f t="shared" ref="K44:Q44" si="17">+K26+K31+K42</f>
        <v>43916.645161290318</v>
      </c>
      <c r="L44" s="70">
        <f t="shared" si="17"/>
        <v>56370.354838709682</v>
      </c>
      <c r="M44" s="70">
        <f t="shared" si="17"/>
        <v>59151.3</v>
      </c>
      <c r="N44" s="70">
        <f t="shared" si="17"/>
        <v>56044.161290322583</v>
      </c>
      <c r="O44" s="70">
        <f t="shared" si="17"/>
        <v>63738.3</v>
      </c>
      <c r="P44" s="70">
        <f t="shared" si="17"/>
        <v>59732</v>
      </c>
      <c r="Q44" s="70">
        <f t="shared" si="17"/>
        <v>59804</v>
      </c>
      <c r="R44" s="70">
        <f>+R26+R31+R42-1</f>
        <v>61159</v>
      </c>
      <c r="S44" s="70">
        <f>+S26+S31+S42+2</f>
        <v>50534</v>
      </c>
      <c r="T44" s="70">
        <f>+T26+T31+T42</f>
        <v>45801</v>
      </c>
      <c r="U44" s="70">
        <f>+U26+U31+U42+1</f>
        <v>31547</v>
      </c>
      <c r="V44" s="70">
        <f>+V26+V31+V42</f>
        <v>29940</v>
      </c>
      <c r="W44" s="70">
        <f>+W26+W31+W42</f>
        <v>34731</v>
      </c>
      <c r="X44" s="70">
        <f>+X26+X31+X42-1</f>
        <v>31214</v>
      </c>
      <c r="Y44" s="70">
        <f>+Y26+Y31+Y42+1</f>
        <v>29165</v>
      </c>
      <c r="Z44" s="70">
        <f>+Z26+Z31+Z42-1</f>
        <v>37851</v>
      </c>
      <c r="AA44" s="70">
        <f>+AA26+AA31+AA42-1</f>
        <v>33484</v>
      </c>
      <c r="AB44" s="70">
        <f>+AB26+AB31+AB42-1</f>
        <v>31624</v>
      </c>
      <c r="AC44" s="70">
        <f t="shared" ref="AC44:AG44" si="18">+AC26+AC31+AC42</f>
        <v>35387</v>
      </c>
      <c r="AD44" s="70">
        <f t="shared" si="18"/>
        <v>35037</v>
      </c>
      <c r="AE44" s="70">
        <f t="shared" si="18"/>
        <v>34823</v>
      </c>
      <c r="AF44" s="70">
        <f t="shared" si="18"/>
        <v>36452</v>
      </c>
      <c r="AG44" s="70">
        <f t="shared" si="18"/>
        <v>41128.032258064515</v>
      </c>
      <c r="AH44" s="70">
        <f t="shared" ref="AH44:AI44" si="19">+AH26+AH31+AH42</f>
        <v>38881.399999999994</v>
      </c>
      <c r="AI44" s="70">
        <f t="shared" si="19"/>
        <v>38887.645161290318</v>
      </c>
      <c r="AJ44" s="70">
        <f t="shared" ref="AJ44:AS44" si="20">+AJ26+AJ31+AJ42</f>
        <v>37699.645161290318</v>
      </c>
      <c r="AK44" s="70">
        <f t="shared" si="20"/>
        <v>41292</v>
      </c>
      <c r="AL44" s="70">
        <f t="shared" si="20"/>
        <v>44285</v>
      </c>
      <c r="AM44" s="70">
        <f t="shared" si="20"/>
        <v>37924</v>
      </c>
      <c r="AN44" s="70">
        <f t="shared" si="20"/>
        <v>38603</v>
      </c>
      <c r="AO44" s="70">
        <f t="shared" si="20"/>
        <v>42524.516129032258</v>
      </c>
      <c r="AP44" s="70">
        <f t="shared" ref="AP44:AR44" si="21">+AP26+AP31+AP42</f>
        <v>49246</v>
      </c>
      <c r="AQ44" s="70">
        <f t="shared" si="21"/>
        <v>28976.419354838705</v>
      </c>
      <c r="AR44" s="70">
        <f>+AR26+AR31+AR42+1</f>
        <v>41900</v>
      </c>
      <c r="AS44" s="70">
        <f t="shared" si="20"/>
        <v>-19995.806451612905</v>
      </c>
      <c r="AT44" s="1"/>
      <c r="AU44" s="1"/>
      <c r="AV44" s="1"/>
    </row>
    <row r="45" spans="1:48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9"/>
      <c r="AN45" s="79"/>
      <c r="AO45" s="79"/>
      <c r="AP45" s="79"/>
      <c r="AQ45" s="79"/>
      <c r="AR45" s="79"/>
    </row>
    <row r="46" spans="1:48" ht="13.5" thickTop="1" x14ac:dyDescent="0.2">
      <c r="E46" s="3"/>
      <c r="V46" s="3"/>
    </row>
    <row r="47" spans="1:48" x14ac:dyDescent="0.2">
      <c r="F47" s="3"/>
      <c r="M47" s="3"/>
      <c r="U47" s="3"/>
      <c r="Z47" s="3"/>
    </row>
    <row r="49" spans="3:45" x14ac:dyDescent="0.2">
      <c r="E49" s="74"/>
      <c r="AS49" s="3"/>
    </row>
    <row r="59" spans="3:45" x14ac:dyDescent="0.2">
      <c r="C59" s="10"/>
    </row>
    <row r="61" spans="3:45" x14ac:dyDescent="0.2">
      <c r="D61" s="4"/>
    </row>
    <row r="92" ht="8.25" customHeight="1" x14ac:dyDescent="0.2"/>
    <row r="93" ht="14.25" customHeight="1" x14ac:dyDescent="0.2"/>
  </sheetData>
  <mergeCells count="20">
    <mergeCell ref="A11:A25"/>
    <mergeCell ref="B11:B25"/>
    <mergeCell ref="A4:D4"/>
    <mergeCell ref="C9:D9"/>
    <mergeCell ref="Q9:AB9"/>
    <mergeCell ref="A7:AS7"/>
    <mergeCell ref="A5:AS5"/>
    <mergeCell ref="A6:AS6"/>
    <mergeCell ref="E9:P9"/>
    <mergeCell ref="AC9:AN9"/>
    <mergeCell ref="AO9:AR9"/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2022-05-12T14:45:04Z</cp:lastPrinted>
  <dcterms:created xsi:type="dcterms:W3CDTF">1997-07-01T22:48:52Z</dcterms:created>
  <dcterms:modified xsi:type="dcterms:W3CDTF">2022-05-12T14:45:17Z</dcterms:modified>
</cp:coreProperties>
</file>